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150" windowWidth="18975" windowHeight="11055" activeTab="0"/>
  </bookViews>
  <sheets>
    <sheet name="Leave Calculation" sheetId="1" r:id="rId1"/>
  </sheets>
  <definedNames>
    <definedName name="_xlnm.Print_Area" localSheetId="0">'Leave Calculation'!$A$1:$I$68</definedName>
  </definedNames>
  <calcPr fullCalcOnLoad="1"/>
</workbook>
</file>

<file path=xl/sharedStrings.xml><?xml version="1.0" encoding="utf-8"?>
<sst xmlns="http://schemas.openxmlformats.org/spreadsheetml/2006/main" count="89" uniqueCount="64">
  <si>
    <t>Working pattern</t>
  </si>
  <si>
    <t>Start time</t>
  </si>
  <si>
    <t>Finish Time</t>
  </si>
  <si>
    <t>Total paid hours per day</t>
  </si>
  <si>
    <t>Monday</t>
  </si>
  <si>
    <t>Tuesday</t>
  </si>
  <si>
    <t>Wednesday</t>
  </si>
  <si>
    <t>Thursday</t>
  </si>
  <si>
    <t>Friday</t>
  </si>
  <si>
    <t xml:space="preserve">to </t>
  </si>
  <si>
    <t>This sheet is used for:</t>
  </si>
  <si>
    <t>Start Date of Continuous Employment</t>
  </si>
  <si>
    <t>Which anniversary of appointment falls within the leave year?</t>
  </si>
  <si>
    <t>Anniversary of appointment falling within this leave year</t>
  </si>
  <si>
    <t>Full year Leave Entitlement (days)</t>
  </si>
  <si>
    <t>Proportion of Leave Year Worked:</t>
  </si>
  <si>
    <t>Yellow boxes require input - other values are calculated automatically - an example has been entered for guidance only</t>
  </si>
  <si>
    <t>Leave Year:</t>
  </si>
  <si>
    <t>Days Worked per Week:</t>
  </si>
  <si>
    <t>Hours Worked per Week:</t>
  </si>
  <si>
    <t>TOTAL hours worked per week</t>
  </si>
  <si>
    <t>Unpaid lunch break (minutes)</t>
  </si>
  <si>
    <t>Date</t>
  </si>
  <si>
    <t>Type</t>
  </si>
  <si>
    <t>Closure Day</t>
  </si>
  <si>
    <t>Public Holiday</t>
  </si>
  <si>
    <t>Full year grossed up leave entitlement for this leave year (in days)</t>
  </si>
  <si>
    <t>Day of Week</t>
  </si>
  <si>
    <t>values in column E should NOT be the same for all days worked - otherwise you are using the wrong spreadsheet</t>
  </si>
  <si>
    <t>Full year grossed up leave entitlement for this leave year (in hours)</t>
  </si>
  <si>
    <t>Hours to be taken</t>
  </si>
  <si>
    <t>Public holidays and closure days (in hours) to be taken from leave entitlement:</t>
  </si>
  <si>
    <t>TOTAL public holidays and closure days (in hours) to be taken from grossed up leave entitlement:</t>
  </si>
  <si>
    <t>* NOT working the same hours each day</t>
  </si>
  <si>
    <t>Actual grossed up leave entitlement for this leave year (in hours)</t>
  </si>
  <si>
    <t>Grossed Up Leave Entitlement (days)</t>
  </si>
  <si>
    <t>Annual Leave Calculation Sheet</t>
  </si>
  <si>
    <t>Last Date of Employment (if leaving employment during this leave year):</t>
  </si>
  <si>
    <t>(see below for list of public holidays and closure days to identify which are included)</t>
  </si>
  <si>
    <t>Entitlements based on working 5 days per week</t>
  </si>
  <si>
    <t>None</t>
  </si>
  <si>
    <t>1st anniversary</t>
  </si>
  <si>
    <t>2nd anniversary</t>
  </si>
  <si>
    <t>3rd anniversary</t>
  </si>
  <si>
    <t>4th anniversary</t>
  </si>
  <si>
    <t>5th anniversary or more</t>
  </si>
  <si>
    <t>(both pro-rated for days worked per week)</t>
  </si>
  <si>
    <t>Staff in AAS and AOS roles (grades 1 to 5)</t>
  </si>
  <si>
    <t>Actual annual leave entitlement for this leave year (in hours)</t>
  </si>
  <si>
    <t>(i.e. directed leave)</t>
  </si>
  <si>
    <t>(i.e. discretionary leave)</t>
  </si>
  <si>
    <t>Name:</t>
  </si>
  <si>
    <t>When entering your work pattern, you must use the format 09:00 and 17:00 for entering start and end times.</t>
  </si>
  <si>
    <t>(i.e. use a colon to separate hours and minutes, and use the 24-hour clock)</t>
  </si>
  <si>
    <t>This must be agreed in advance with your line manager.</t>
  </si>
  <si>
    <t>Due to work (1 = yes)</t>
  </si>
  <si>
    <t>Proportion of week worked</t>
  </si>
  <si>
    <t>Grossed Up Leave Entitlement includes public holiday (8) and closure day (6) entitlement</t>
  </si>
  <si>
    <t>Grossed Up Leave Entitlement includes annual leave (21 or 25), public holiday (8) and closure day (6) entitlement</t>
  </si>
  <si>
    <t>Closure Day*</t>
  </si>
  <si>
    <t xml:space="preserve">can either take the Closure Day on this date or take leave on an alternative date.  </t>
  </si>
  <si>
    <t>2023/24</t>
  </si>
  <si>
    <t xml:space="preserve">* As Greenlands campus remains open on 28 March &amp; 2 April 2024, staff at Greenlands (who usually work on this day) </t>
  </si>
  <si>
    <t>Public Holidays &amp; Closure Days - Leave year 1 Oct 2023 - 30 Sept 2024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</si>
</sst>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"/>
    <numFmt numFmtId="169" formatCode="dd/mm/yyyy;@"/>
    <numFmt numFmtId="170" formatCode="0.000"/>
    <numFmt numFmtId="171" formatCode="0.0000000"/>
    <numFmt numFmtId="172" formatCode="0.000000"/>
    <numFmt numFmtId="173" formatCode="0.00000"/>
    <numFmt numFmtId="174" formatCode="hh:mm;@"/>
    <numFmt numFmtId="175" formatCode="[$-F800]dddd\,\ mmmm\ dd\,\ yyyy"/>
    <numFmt numFmtId="176" formatCode="[$-809]dd\ mmmm\ yyyy"/>
    <numFmt numFmtId="177" formatCode="mmm\-yyyy"/>
    <numFmt numFmtId="178" formatCode="0.0"/>
    <numFmt numFmtId="179" formatCode="0.00000000"/>
    <numFmt numFmtId="180" formatCode="0.000000000"/>
  </numFmts>
  <fonts count="52">
    <font>
      <sz val="10"/>
      <name val="Arial"/>
      <family val="0"/>
    </font>
    <font>
      <sz val="8"/>
      <name val="Arial"/>
      <family val="2"/>
    </font>
    <font>
      <b/>
      <sz val="11"/>
      <color indexed="10"/>
      <name val="Rdg Vesta"/>
      <family val="0"/>
    </font>
    <font>
      <sz val="11"/>
      <name val="Rdg Vesta"/>
      <family val="0"/>
    </font>
    <font>
      <b/>
      <sz val="11"/>
      <name val="Rdg Vesta"/>
      <family val="0"/>
    </font>
    <font>
      <b/>
      <sz val="11"/>
      <color indexed="12"/>
      <name val="Rdg Vesta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10"/>
      <name val="Rdg Vesta"/>
      <family val="0"/>
    </font>
    <font>
      <sz val="8"/>
      <name val="Rdg Vesta"/>
      <family val="0"/>
    </font>
    <font>
      <sz val="8"/>
      <color indexed="22"/>
      <name val="Rdg Vesta"/>
      <family val="0"/>
    </font>
    <font>
      <sz val="11"/>
      <color indexed="12"/>
      <name val="Rdg Vesta"/>
      <family val="0"/>
    </font>
    <font>
      <b/>
      <sz val="14"/>
      <name val="Rdg Vesta"/>
      <family val="0"/>
    </font>
    <font>
      <b/>
      <sz val="10"/>
      <name val="Arial"/>
      <family val="2"/>
    </font>
    <font>
      <b/>
      <sz val="14"/>
      <color indexed="10"/>
      <name val="Rdg Vesta"/>
      <family val="0"/>
    </font>
    <font>
      <sz val="9"/>
      <color indexed="10"/>
      <name val="Rdg Vesta"/>
      <family val="0"/>
    </font>
    <font>
      <sz val="9"/>
      <name val="Arial"/>
      <family val="2"/>
    </font>
    <font>
      <sz val="9"/>
      <name val="Rdg Vest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3" fillId="33" borderId="10" xfId="0" applyFont="1" applyFill="1" applyBorder="1" applyAlignment="1" applyProtection="1">
      <alignment horizontal="center" vertical="center"/>
      <protection locked="0"/>
    </xf>
    <xf numFmtId="20" fontId="3" fillId="33" borderId="10" xfId="0" applyNumberFormat="1" applyFont="1" applyFill="1" applyBorder="1" applyAlignment="1" applyProtection="1">
      <alignment horizontal="center" vertical="center"/>
      <protection locked="0"/>
    </xf>
    <xf numFmtId="1" fontId="3" fillId="33" borderId="10" xfId="0" applyNumberFormat="1" applyFont="1" applyFill="1" applyBorder="1" applyAlignment="1" applyProtection="1">
      <alignment horizontal="center" vertical="center"/>
      <protection locked="0"/>
    </xf>
    <xf numFmtId="169" fontId="3" fillId="33" borderId="10" xfId="0" applyNumberFormat="1" applyFont="1" applyFill="1" applyBorder="1" applyAlignment="1" applyProtection="1">
      <alignment horizontal="center" vertical="center"/>
      <protection locked="0"/>
    </xf>
    <xf numFmtId="14" fontId="3" fillId="33" borderId="10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14" fillId="0" borderId="0" xfId="0" applyFont="1" applyAlignment="1" applyProtection="1">
      <alignment horizontal="right" vertical="center"/>
      <protection/>
    </xf>
    <xf numFmtId="0" fontId="5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 applyProtection="1">
      <alignment vertical="center"/>
      <protection/>
    </xf>
    <xf numFmtId="14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14" fontId="3" fillId="0" borderId="0" xfId="0" applyNumberFormat="1" applyFont="1" applyFill="1" applyBorder="1" applyAlignment="1" applyProtection="1">
      <alignment vertical="center"/>
      <protection/>
    </xf>
    <xf numFmtId="0" fontId="8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17" fillId="0" borderId="0" xfId="0" applyFont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11" xfId="0" applyFont="1" applyFill="1" applyBorder="1" applyAlignment="1" applyProtection="1">
      <alignment horizontal="left" vertical="center" wrapText="1"/>
      <protection/>
    </xf>
    <xf numFmtId="2" fontId="3" fillId="0" borderId="10" xfId="0" applyNumberFormat="1" applyFont="1" applyFill="1" applyBorder="1" applyAlignment="1" applyProtection="1">
      <alignment horizontal="center" vertical="center"/>
      <protection/>
    </xf>
    <xf numFmtId="2" fontId="3" fillId="0" borderId="10" xfId="0" applyNumberFormat="1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vertical="center"/>
      <protection/>
    </xf>
    <xf numFmtId="0" fontId="3" fillId="0" borderId="12" xfId="0" applyFont="1" applyBorder="1" applyAlignment="1" applyProtection="1">
      <alignment vertical="center"/>
      <protection/>
    </xf>
    <xf numFmtId="2" fontId="3" fillId="0" borderId="12" xfId="0" applyNumberFormat="1" applyFont="1" applyFill="1" applyBorder="1" applyAlignment="1" applyProtection="1">
      <alignment vertical="center"/>
      <protection/>
    </xf>
    <xf numFmtId="0" fontId="3" fillId="0" borderId="1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34" borderId="10" xfId="0" applyFont="1" applyFill="1" applyBorder="1" applyAlignment="1" applyProtection="1">
      <alignment horizontal="center" vertical="center"/>
      <protection/>
    </xf>
    <xf numFmtId="0" fontId="9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left" vertical="center"/>
      <protection/>
    </xf>
    <xf numFmtId="14" fontId="10" fillId="0" borderId="0" xfId="0" applyNumberFormat="1" applyFont="1" applyFill="1" applyBorder="1" applyAlignment="1" applyProtection="1">
      <alignment horizontal="center" vertical="center"/>
      <protection/>
    </xf>
    <xf numFmtId="2" fontId="3" fillId="0" borderId="0" xfId="0" applyNumberFormat="1" applyFont="1" applyAlignment="1" applyProtection="1">
      <alignment horizontal="center" vertical="center"/>
      <protection/>
    </xf>
    <xf numFmtId="2" fontId="5" fillId="0" borderId="10" xfId="0" applyNumberFormat="1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wrapText="1"/>
      <protection/>
    </xf>
    <xf numFmtId="175" fontId="4" fillId="0" borderId="10" xfId="0" applyNumberFormat="1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2" fontId="3" fillId="0" borderId="0" xfId="0" applyNumberFormat="1" applyFont="1" applyAlignment="1" applyProtection="1">
      <alignment vertical="center"/>
      <protection/>
    </xf>
    <xf numFmtId="0" fontId="3" fillId="0" borderId="10" xfId="0" applyFont="1" applyBorder="1" applyAlignment="1" applyProtection="1">
      <alignment/>
      <protection/>
    </xf>
    <xf numFmtId="15" fontId="3" fillId="0" borderId="10" xfId="0" applyNumberFormat="1" applyFon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center"/>
      <protection/>
    </xf>
    <xf numFmtId="2" fontId="3" fillId="0" borderId="10" xfId="0" applyNumberFormat="1" applyFont="1" applyBorder="1" applyAlignment="1" applyProtection="1">
      <alignment horizontal="center"/>
      <protection/>
    </xf>
    <xf numFmtId="173" fontId="3" fillId="0" borderId="0" xfId="0" applyNumberFormat="1" applyFont="1" applyAlignment="1" applyProtection="1">
      <alignment vertical="center"/>
      <protection/>
    </xf>
    <xf numFmtId="2" fontId="4" fillId="0" borderId="10" xfId="0" applyNumberFormat="1" applyFont="1" applyBorder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3" fillId="0" borderId="14" xfId="0" applyFont="1" applyFill="1" applyBorder="1" applyAlignment="1" applyProtection="1">
      <alignment horizontal="left" vertical="center" wrapText="1"/>
      <protection/>
    </xf>
    <xf numFmtId="0" fontId="0" fillId="0" borderId="14" xfId="0" applyBorder="1" applyAlignment="1" applyProtection="1">
      <alignment vertical="center" wrapText="1"/>
      <protection/>
    </xf>
    <xf numFmtId="0" fontId="0" fillId="0" borderId="0" xfId="0" applyAlignment="1" applyProtection="1">
      <alignment vertical="center" wrapText="1"/>
      <protection/>
    </xf>
    <xf numFmtId="0" fontId="4" fillId="0" borderId="11" xfId="0" applyFont="1" applyBorder="1" applyAlignment="1" applyProtection="1">
      <alignment wrapText="1"/>
      <protection/>
    </xf>
    <xf numFmtId="0" fontId="0" fillId="0" borderId="12" xfId="0" applyBorder="1" applyAlignment="1" applyProtection="1">
      <alignment wrapText="1"/>
      <protection/>
    </xf>
    <xf numFmtId="0" fontId="0" fillId="0" borderId="13" xfId="0" applyBorder="1" applyAlignment="1" applyProtection="1">
      <alignment wrapText="1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0" xfId="0" applyAlignment="1" applyProtection="1">
      <alignment vertical="center"/>
      <protection/>
    </xf>
    <xf numFmtId="0" fontId="3" fillId="0" borderId="11" xfId="0" applyFont="1" applyFill="1" applyBorder="1" applyAlignment="1" applyProtection="1">
      <alignment horizontal="left" vertical="center" wrapText="1"/>
      <protection/>
    </xf>
    <xf numFmtId="0" fontId="0" fillId="0" borderId="12" xfId="0" applyBorder="1" applyAlignment="1" applyProtection="1">
      <alignment vertical="center"/>
      <protection/>
    </xf>
    <xf numFmtId="0" fontId="15" fillId="0" borderId="15" xfId="0" applyFont="1" applyFill="1" applyBorder="1" applyAlignment="1" applyProtection="1">
      <alignment vertical="center" wrapText="1"/>
      <protection/>
    </xf>
    <xf numFmtId="0" fontId="16" fillId="0" borderId="15" xfId="0" applyFont="1" applyBorder="1" applyAlignment="1" applyProtection="1">
      <alignment vertical="center" wrapText="1"/>
      <protection/>
    </xf>
    <xf numFmtId="0" fontId="4" fillId="33" borderId="11" xfId="0" applyFont="1" applyFill="1" applyBorder="1" applyAlignment="1" applyProtection="1">
      <alignment vertical="center" wrapText="1"/>
      <protection/>
    </xf>
    <xf numFmtId="0" fontId="13" fillId="0" borderId="12" xfId="0" applyFont="1" applyBorder="1" applyAlignment="1" applyProtection="1">
      <alignment vertical="center" wrapText="1"/>
      <protection/>
    </xf>
    <xf numFmtId="0" fontId="13" fillId="0" borderId="13" xfId="0" applyFont="1" applyBorder="1" applyAlignment="1" applyProtection="1">
      <alignment vertical="center" wrapText="1"/>
      <protection/>
    </xf>
    <xf numFmtId="0" fontId="3" fillId="33" borderId="11" xfId="0" applyFont="1" applyFill="1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8"/>
  <sheetViews>
    <sheetView tabSelected="1" zoomScalePageLayoutView="0" workbookViewId="0" topLeftCell="A10">
      <selection activeCell="B10" sqref="B10:E10"/>
    </sheetView>
  </sheetViews>
  <sheetFormatPr defaultColWidth="9.140625" defaultRowHeight="12.75"/>
  <cols>
    <col min="1" max="1" width="25.7109375" style="7" customWidth="1"/>
    <col min="2" max="3" width="15.7109375" style="7" customWidth="1"/>
    <col min="4" max="4" width="14.421875" style="7" customWidth="1"/>
    <col min="5" max="5" width="15.7109375" style="7" customWidth="1"/>
    <col min="6" max="6" width="23.00390625" style="7" customWidth="1"/>
    <col min="7" max="7" width="21.8515625" style="7" customWidth="1"/>
    <col min="8" max="8" width="14.00390625" style="7" customWidth="1"/>
    <col min="9" max="9" width="16.7109375" style="7" customWidth="1"/>
    <col min="10" max="16384" width="9.140625" style="7" customWidth="1"/>
  </cols>
  <sheetData>
    <row r="1" spans="1:6" ht="18">
      <c r="A1" s="6" t="s">
        <v>36</v>
      </c>
      <c r="F1" s="8" t="s">
        <v>61</v>
      </c>
    </row>
    <row r="2" ht="18">
      <c r="A2" s="6"/>
    </row>
    <row r="3" spans="1:5" s="10" customFormat="1" ht="15" customHeight="1">
      <c r="A3" s="9" t="s">
        <v>10</v>
      </c>
      <c r="B3" s="9" t="s">
        <v>47</v>
      </c>
      <c r="C3" s="9"/>
      <c r="D3" s="9"/>
      <c r="E3" s="9"/>
    </row>
    <row r="4" spans="1:9" ht="15">
      <c r="A4" s="11"/>
      <c r="B4" s="9"/>
      <c r="C4" s="11"/>
      <c r="D4" s="11"/>
      <c r="E4" s="11"/>
      <c r="G4" s="10"/>
      <c r="H4" s="10"/>
      <c r="I4" s="10"/>
    </row>
    <row r="5" spans="1:5" ht="15">
      <c r="A5" s="11"/>
      <c r="B5" s="9" t="s">
        <v>33</v>
      </c>
      <c r="C5" s="11"/>
      <c r="D5" s="11"/>
      <c r="E5" s="11"/>
    </row>
    <row r="6" spans="1:6" ht="15">
      <c r="A6" s="11"/>
      <c r="B6" s="9"/>
      <c r="C6" s="11"/>
      <c r="D6" s="12"/>
      <c r="E6" s="13"/>
      <c r="F6" s="13"/>
    </row>
    <row r="7" spans="1:5" ht="15">
      <c r="A7" s="11"/>
      <c r="B7" s="9"/>
      <c r="C7" s="11"/>
      <c r="D7" s="11"/>
      <c r="E7" s="12"/>
    </row>
    <row r="8" spans="1:5" ht="38.25" customHeight="1">
      <c r="A8" s="71" t="s">
        <v>16</v>
      </c>
      <c r="B8" s="72"/>
      <c r="C8" s="72"/>
      <c r="D8" s="72"/>
      <c r="E8" s="73"/>
    </row>
    <row r="9" ht="14.25">
      <c r="F9" s="14"/>
    </row>
    <row r="10" spans="1:6" ht="14.25">
      <c r="A10" s="7" t="s">
        <v>51</v>
      </c>
      <c r="B10" s="74"/>
      <c r="C10" s="75"/>
      <c r="D10" s="75"/>
      <c r="E10" s="76"/>
      <c r="F10" s="14"/>
    </row>
    <row r="11" ht="14.25">
      <c r="G11" s="14"/>
    </row>
    <row r="12" spans="1:7" ht="14.25">
      <c r="A12" s="7" t="s">
        <v>17</v>
      </c>
      <c r="B12" s="15">
        <v>45200</v>
      </c>
      <c r="C12" s="16" t="s">
        <v>9</v>
      </c>
      <c r="D12" s="15">
        <v>45565</v>
      </c>
      <c r="G12" s="14"/>
    </row>
    <row r="13" spans="1:4" ht="14.25">
      <c r="A13" s="17"/>
      <c r="B13" s="18"/>
      <c r="C13" s="16"/>
      <c r="D13" s="18"/>
    </row>
    <row r="14" spans="1:4" ht="15">
      <c r="A14" s="7" t="s">
        <v>18</v>
      </c>
      <c r="B14" s="1"/>
      <c r="C14" s="19"/>
      <c r="D14" s="9"/>
    </row>
    <row r="15" spans="2:4" ht="15">
      <c r="B15" s="20"/>
      <c r="C15" s="9"/>
      <c r="D15" s="9"/>
    </row>
    <row r="16" spans="1:6" ht="14.25">
      <c r="A16" s="7" t="s">
        <v>19</v>
      </c>
      <c r="B16" s="1">
        <v>32</v>
      </c>
      <c r="D16" s="21"/>
      <c r="E16" s="22"/>
      <c r="F16" s="21"/>
    </row>
    <row r="17" ht="14.25">
      <c r="B17" s="23"/>
    </row>
    <row r="18" spans="1:5" ht="14.25">
      <c r="A18" s="7" t="s">
        <v>52</v>
      </c>
      <c r="B18" s="23"/>
      <c r="D18" s="21"/>
      <c r="E18" s="21"/>
    </row>
    <row r="19" spans="1:5" ht="14.25">
      <c r="A19" s="24" t="s">
        <v>53</v>
      </c>
      <c r="B19" s="23"/>
      <c r="D19" s="21"/>
      <c r="E19" s="21"/>
    </row>
    <row r="20" spans="1:6" ht="42.75">
      <c r="A20" s="25" t="s">
        <v>0</v>
      </c>
      <c r="B20" s="26" t="s">
        <v>1</v>
      </c>
      <c r="C20" s="26" t="s">
        <v>2</v>
      </c>
      <c r="D20" s="26" t="s">
        <v>21</v>
      </c>
      <c r="E20" s="26" t="s">
        <v>3</v>
      </c>
      <c r="F20" s="27"/>
    </row>
    <row r="21" spans="1:6" ht="15.75" customHeight="1">
      <c r="A21" s="28" t="s">
        <v>4</v>
      </c>
      <c r="B21" s="2">
        <v>0.3333333333333333</v>
      </c>
      <c r="C21" s="2">
        <v>0.7083333333333334</v>
      </c>
      <c r="D21" s="3">
        <v>60</v>
      </c>
      <c r="E21" s="29">
        <f>(C21-B21)*24-D21/60</f>
        <v>8.000000000000002</v>
      </c>
      <c r="F21" s="69" t="s">
        <v>28</v>
      </c>
    </row>
    <row r="22" spans="1:6" ht="14.25">
      <c r="A22" s="28" t="s">
        <v>5</v>
      </c>
      <c r="B22" s="2">
        <v>0.3333333333333333</v>
      </c>
      <c r="C22" s="2">
        <v>0.7916666666666666</v>
      </c>
      <c r="D22" s="3">
        <v>60</v>
      </c>
      <c r="E22" s="29">
        <f>(C22-B22)*24-D22/60</f>
        <v>10</v>
      </c>
      <c r="F22" s="70"/>
    </row>
    <row r="23" spans="1:6" ht="14.25">
      <c r="A23" s="28" t="s">
        <v>6</v>
      </c>
      <c r="B23" s="2">
        <v>0.3333333333333333</v>
      </c>
      <c r="C23" s="2">
        <v>0.7083333333333334</v>
      </c>
      <c r="D23" s="3">
        <v>60</v>
      </c>
      <c r="E23" s="29">
        <f>(C23-B23)*24-D23/60</f>
        <v>8.000000000000002</v>
      </c>
      <c r="F23" s="70"/>
    </row>
    <row r="24" spans="1:6" ht="14.25">
      <c r="A24" s="28" t="s">
        <v>7</v>
      </c>
      <c r="B24" s="2">
        <v>0.3333333333333333</v>
      </c>
      <c r="C24" s="2">
        <v>0.5833333333333334</v>
      </c>
      <c r="D24" s="3"/>
      <c r="E24" s="29">
        <f>(C24-B24)*24-D24/60</f>
        <v>6.000000000000002</v>
      </c>
      <c r="F24" s="70"/>
    </row>
    <row r="25" spans="1:6" ht="14.25">
      <c r="A25" s="28" t="s">
        <v>8</v>
      </c>
      <c r="B25" s="2"/>
      <c r="C25" s="2"/>
      <c r="D25" s="3"/>
      <c r="E25" s="29">
        <f>(C25-B25)*24-D25/60</f>
        <v>0</v>
      </c>
      <c r="F25" s="70"/>
    </row>
    <row r="26" spans="1:6" ht="14.25">
      <c r="A26" s="67" t="s">
        <v>20</v>
      </c>
      <c r="B26" s="68"/>
      <c r="C26" s="68"/>
      <c r="D26" s="68"/>
      <c r="E26" s="30">
        <f>SUM(E21:E25)</f>
        <v>32</v>
      </c>
      <c r="F26" s="19" t="str">
        <f>IF(E26=B16,"*","total does not match hours worked per week from above")</f>
        <v>*</v>
      </c>
    </row>
    <row r="27" spans="1:6" ht="14.25">
      <c r="A27" s="31" t="s">
        <v>56</v>
      </c>
      <c r="B27" s="32"/>
      <c r="C27" s="33"/>
      <c r="D27" s="34"/>
      <c r="E27" s="30">
        <f>E26/36</f>
        <v>0.8888888888888888</v>
      </c>
      <c r="F27" s="19"/>
    </row>
    <row r="29" spans="1:9" ht="15" customHeight="1">
      <c r="A29" s="7" t="s">
        <v>11</v>
      </c>
      <c r="E29" s="4">
        <v>45200</v>
      </c>
      <c r="G29" s="35" t="s">
        <v>39</v>
      </c>
      <c r="H29" s="16"/>
      <c r="I29" s="17"/>
    </row>
    <row r="30" spans="1:9" ht="15" customHeight="1">
      <c r="A30" s="65" t="s">
        <v>12</v>
      </c>
      <c r="B30" s="66"/>
      <c r="C30" s="66"/>
      <c r="D30" s="66"/>
      <c r="E30" s="36">
        <f>ROUNDDOWN((D12-E29)/365,0)</f>
        <v>1</v>
      </c>
      <c r="G30" s="57" t="s">
        <v>13</v>
      </c>
      <c r="H30" s="57" t="s">
        <v>14</v>
      </c>
      <c r="I30" s="57" t="s">
        <v>35</v>
      </c>
    </row>
    <row r="31" spans="7:9" ht="14.25">
      <c r="G31" s="58"/>
      <c r="H31" s="58"/>
      <c r="I31" s="58"/>
    </row>
    <row r="32" spans="1:9" ht="14.25">
      <c r="A32" s="7" t="s">
        <v>26</v>
      </c>
      <c r="E32" s="37">
        <f>IF(E30&lt;5,35,39)</f>
        <v>35</v>
      </c>
      <c r="G32" s="58"/>
      <c r="H32" s="58"/>
      <c r="I32" s="58"/>
    </row>
    <row r="33" spans="1:9" ht="14.25">
      <c r="A33" s="7" t="s">
        <v>29</v>
      </c>
      <c r="E33" s="30">
        <f>E32*7.2</f>
        <v>252</v>
      </c>
      <c r="G33" s="38" t="s">
        <v>40</v>
      </c>
      <c r="H33" s="38">
        <v>21</v>
      </c>
      <c r="I33" s="38">
        <v>35</v>
      </c>
    </row>
    <row r="34" spans="1:9" ht="14.25">
      <c r="A34" s="39" t="s">
        <v>46</v>
      </c>
      <c r="E34" s="40"/>
      <c r="G34" s="38" t="s">
        <v>41</v>
      </c>
      <c r="H34" s="38">
        <v>21</v>
      </c>
      <c r="I34" s="38">
        <v>35</v>
      </c>
    </row>
    <row r="35" spans="1:9" ht="14.25">
      <c r="A35" s="41" t="s">
        <v>58</v>
      </c>
      <c r="E35" s="40"/>
      <c r="G35" s="38" t="s">
        <v>42</v>
      </c>
      <c r="H35" s="38">
        <v>21</v>
      </c>
      <c r="I35" s="38">
        <v>35</v>
      </c>
    </row>
    <row r="36" spans="7:9" ht="14.25">
      <c r="G36" s="38" t="s">
        <v>43</v>
      </c>
      <c r="H36" s="38">
        <v>21</v>
      </c>
      <c r="I36" s="38">
        <v>35</v>
      </c>
    </row>
    <row r="37" spans="1:9" ht="14.25">
      <c r="A37" s="7" t="s">
        <v>37</v>
      </c>
      <c r="E37" s="5"/>
      <c r="G37" s="38" t="s">
        <v>44</v>
      </c>
      <c r="H37" s="38">
        <v>21</v>
      </c>
      <c r="I37" s="38">
        <v>35</v>
      </c>
    </row>
    <row r="38" spans="7:9" ht="14.25">
      <c r="G38" s="38" t="s">
        <v>45</v>
      </c>
      <c r="H38" s="38">
        <v>25</v>
      </c>
      <c r="I38" s="38">
        <v>39</v>
      </c>
    </row>
    <row r="39" spans="1:9" ht="15" customHeight="1">
      <c r="A39" s="7" t="s">
        <v>15</v>
      </c>
      <c r="C39" s="42">
        <f>MAX(E29,B12)</f>
        <v>45200</v>
      </c>
      <c r="D39" s="42">
        <f>MIN(D12,E37)</f>
        <v>45565</v>
      </c>
      <c r="E39" s="30">
        <f>(D39-C39+1)/366</f>
        <v>1</v>
      </c>
      <c r="G39" s="59" t="s">
        <v>57</v>
      </c>
      <c r="H39" s="60"/>
      <c r="I39" s="60"/>
    </row>
    <row r="40" spans="3:9" ht="15" customHeight="1">
      <c r="C40" s="42"/>
      <c r="D40" s="42"/>
      <c r="E40" s="43"/>
      <c r="G40" s="61"/>
      <c r="H40" s="61"/>
      <c r="I40" s="61"/>
    </row>
    <row r="41" spans="1:5" ht="15">
      <c r="A41" s="7" t="s">
        <v>34</v>
      </c>
      <c r="B41" s="35"/>
      <c r="C41" s="35"/>
      <c r="D41" s="35"/>
      <c r="E41" s="30">
        <f>CEILING((E33*E27)*E39,0.05)</f>
        <v>224</v>
      </c>
    </row>
    <row r="42" ht="14.25">
      <c r="D42" s="39"/>
    </row>
    <row r="43" spans="1:6" ht="14.25">
      <c r="A43" s="7" t="s">
        <v>31</v>
      </c>
      <c r="E43" s="30">
        <f>'Leave Calculation'!E64</f>
        <v>88</v>
      </c>
      <c r="F43" s="7" t="s">
        <v>49</v>
      </c>
    </row>
    <row r="44" ht="14.25">
      <c r="A44" s="39" t="s">
        <v>38</v>
      </c>
    </row>
    <row r="46" spans="1:6" ht="15">
      <c r="A46" s="9" t="s">
        <v>48</v>
      </c>
      <c r="B46" s="9"/>
      <c r="C46" s="9"/>
      <c r="D46" s="9"/>
      <c r="E46" s="44">
        <f>CEILING(E41-E43,0.05)</f>
        <v>136</v>
      </c>
      <c r="F46" s="7" t="s">
        <v>50</v>
      </c>
    </row>
    <row r="48" spans="1:2" ht="15">
      <c r="A48" s="35" t="s">
        <v>63</v>
      </c>
      <c r="B48" s="45"/>
    </row>
    <row r="49" spans="1:7" ht="30">
      <c r="A49" s="46" t="s">
        <v>23</v>
      </c>
      <c r="B49" s="47" t="s">
        <v>22</v>
      </c>
      <c r="C49" s="48" t="s">
        <v>27</v>
      </c>
      <c r="D49" s="48" t="s">
        <v>55</v>
      </c>
      <c r="E49" s="48" t="s">
        <v>30</v>
      </c>
      <c r="G49" s="49"/>
    </row>
    <row r="50" spans="1:5" ht="14.25">
      <c r="A50" s="50" t="s">
        <v>24</v>
      </c>
      <c r="B50" s="51">
        <v>45282</v>
      </c>
      <c r="C50" s="52" t="s">
        <v>8</v>
      </c>
      <c r="D50" s="37">
        <f>IF((AND(($E$29&lt;=B50),(B50&lt;=$E$37))),1,(IF(ISBLANK($E$37),(IF($E$29&lt;=B50,1,0)),0)))</f>
        <v>1</v>
      </c>
      <c r="E50" s="53">
        <f>IF(B50&lt;'Leave Calculation'!C$39,0,IF(B50&gt;'Leave Calculation'!D$39,0,VLOOKUP(C50,'Leave Calculation'!A$21:E$25,5,FALSE)))</f>
        <v>0</v>
      </c>
    </row>
    <row r="51" spans="1:5" ht="14.25">
      <c r="A51" s="50" t="s">
        <v>25</v>
      </c>
      <c r="B51" s="51">
        <v>45285</v>
      </c>
      <c r="C51" s="52" t="s">
        <v>4</v>
      </c>
      <c r="D51" s="37">
        <f aca="true" t="shared" si="0" ref="D51:D63">IF((AND(($E$29&lt;=B51),(B51&lt;=$E$37))),1,(IF(ISBLANK($E$37),(IF($E$29&lt;=B51,1,0)),0)))</f>
        <v>1</v>
      </c>
      <c r="E51" s="53">
        <f>IF(B51&lt;'Leave Calculation'!C$39,0,IF(B51&gt;'Leave Calculation'!D$39,0,VLOOKUP(C51,'Leave Calculation'!A$21:E$25,5,FALSE)))</f>
        <v>8.000000000000002</v>
      </c>
    </row>
    <row r="52" spans="1:7" ht="14.25">
      <c r="A52" s="50" t="s">
        <v>25</v>
      </c>
      <c r="B52" s="51">
        <v>45286</v>
      </c>
      <c r="C52" s="52" t="s">
        <v>5</v>
      </c>
      <c r="D52" s="37">
        <f t="shared" si="0"/>
        <v>1</v>
      </c>
      <c r="E52" s="53">
        <f>IF(B52&lt;'Leave Calculation'!C$39,0,IF(B52&gt;'Leave Calculation'!D$39,0,VLOOKUP(C52,'Leave Calculation'!A$21:E$25,5,FALSE)))</f>
        <v>10</v>
      </c>
      <c r="G52" s="54"/>
    </row>
    <row r="53" spans="1:7" ht="14.25">
      <c r="A53" s="50" t="s">
        <v>24</v>
      </c>
      <c r="B53" s="51">
        <v>45287</v>
      </c>
      <c r="C53" s="52" t="s">
        <v>6</v>
      </c>
      <c r="D53" s="37">
        <f t="shared" si="0"/>
        <v>1</v>
      </c>
      <c r="E53" s="53">
        <f>IF(B53&lt;'Leave Calculation'!C$39,0,IF(B53&gt;'Leave Calculation'!D$39,0,VLOOKUP(C53,'Leave Calculation'!A$21:E$25,5,FALSE)))</f>
        <v>8.000000000000002</v>
      </c>
      <c r="G53" s="54"/>
    </row>
    <row r="54" spans="1:7" ht="14.25">
      <c r="A54" s="50" t="s">
        <v>24</v>
      </c>
      <c r="B54" s="51">
        <v>45288</v>
      </c>
      <c r="C54" s="52" t="s">
        <v>7</v>
      </c>
      <c r="D54" s="37">
        <f t="shared" si="0"/>
        <v>1</v>
      </c>
      <c r="E54" s="53">
        <f>IF(B54&lt;'Leave Calculation'!C$39,0,IF(B54&gt;'Leave Calculation'!D$39,0,VLOOKUP(C54,'Leave Calculation'!A$21:E$25,5,FALSE)))</f>
        <v>6.000000000000002</v>
      </c>
      <c r="G54" s="54"/>
    </row>
    <row r="55" spans="1:7" ht="14.25">
      <c r="A55" s="50" t="s">
        <v>24</v>
      </c>
      <c r="B55" s="51">
        <v>45289</v>
      </c>
      <c r="C55" s="52" t="s">
        <v>8</v>
      </c>
      <c r="D55" s="37">
        <f t="shared" si="0"/>
        <v>1</v>
      </c>
      <c r="E55" s="53">
        <f>IF(B55&lt;'Leave Calculation'!C$39,0,IF(B55&gt;'Leave Calculation'!D$39,0,VLOOKUP(C55,'Leave Calculation'!A$21:E$25,5,FALSE)))</f>
        <v>0</v>
      </c>
      <c r="G55" s="54"/>
    </row>
    <row r="56" spans="1:7" ht="14.25">
      <c r="A56" s="50" t="s">
        <v>25</v>
      </c>
      <c r="B56" s="51">
        <v>45292</v>
      </c>
      <c r="C56" s="52" t="s">
        <v>4</v>
      </c>
      <c r="D56" s="37">
        <f t="shared" si="0"/>
        <v>1</v>
      </c>
      <c r="E56" s="53">
        <f>IF(B56&lt;'Leave Calculation'!C$39,0,IF(B56&gt;'Leave Calculation'!D$39,0,VLOOKUP(C56,'Leave Calculation'!A$21:E$25,5,FALSE)))</f>
        <v>8.000000000000002</v>
      </c>
      <c r="G56" s="54"/>
    </row>
    <row r="57" spans="1:7" ht="14.25">
      <c r="A57" s="50" t="s">
        <v>59</v>
      </c>
      <c r="B57" s="51">
        <v>45379</v>
      </c>
      <c r="C57" s="52" t="s">
        <v>7</v>
      </c>
      <c r="D57" s="37">
        <f t="shared" si="0"/>
        <v>1</v>
      </c>
      <c r="E57" s="53">
        <f>IF(B57&lt;'Leave Calculation'!C$39,0,IF(B57&gt;'Leave Calculation'!D$39,0,VLOOKUP(C57,'Leave Calculation'!A$21:E$25,5,FALSE)))</f>
        <v>6.000000000000002</v>
      </c>
      <c r="G57" s="54"/>
    </row>
    <row r="58" spans="1:7" ht="14.25">
      <c r="A58" s="50" t="s">
        <v>25</v>
      </c>
      <c r="B58" s="51">
        <v>45380</v>
      </c>
      <c r="C58" s="52" t="s">
        <v>8</v>
      </c>
      <c r="D58" s="37">
        <f t="shared" si="0"/>
        <v>1</v>
      </c>
      <c r="E58" s="53">
        <f>IF(B58&lt;'Leave Calculation'!C$39,0,IF(B58&gt;'Leave Calculation'!D$39,0,VLOOKUP(C58,'Leave Calculation'!A$21:E$25,5,FALSE)))</f>
        <v>0</v>
      </c>
      <c r="G58" s="54"/>
    </row>
    <row r="59" spans="1:7" ht="14.25">
      <c r="A59" s="50" t="s">
        <v>25</v>
      </c>
      <c r="B59" s="51">
        <v>45383</v>
      </c>
      <c r="C59" s="52" t="s">
        <v>4</v>
      </c>
      <c r="D59" s="37">
        <f t="shared" si="0"/>
        <v>1</v>
      </c>
      <c r="E59" s="53">
        <f>IF(B59&lt;'Leave Calculation'!C$39,0,IF(B59&gt;'Leave Calculation'!D$39,0,VLOOKUP(C59,'Leave Calculation'!A$21:E$25,5,FALSE)))</f>
        <v>8.000000000000002</v>
      </c>
      <c r="G59" s="54"/>
    </row>
    <row r="60" spans="1:7" ht="14.25">
      <c r="A60" s="50" t="s">
        <v>59</v>
      </c>
      <c r="B60" s="51">
        <v>45384</v>
      </c>
      <c r="C60" s="52" t="s">
        <v>5</v>
      </c>
      <c r="D60" s="37">
        <f t="shared" si="0"/>
        <v>1</v>
      </c>
      <c r="E60" s="53">
        <f>IF(B60&lt;'Leave Calculation'!C$39,0,IF(B60&gt;'Leave Calculation'!D$39,0,VLOOKUP(C60,'Leave Calculation'!A$21:E$25,5,FALSE)))</f>
        <v>10</v>
      </c>
      <c r="G60" s="54"/>
    </row>
    <row r="61" spans="1:7" ht="14.25">
      <c r="A61" s="50" t="s">
        <v>25</v>
      </c>
      <c r="B61" s="51">
        <v>45418</v>
      </c>
      <c r="C61" s="52" t="s">
        <v>4</v>
      </c>
      <c r="D61" s="37">
        <f t="shared" si="0"/>
        <v>1</v>
      </c>
      <c r="E61" s="53">
        <f>IF(B61&lt;'Leave Calculation'!C$39,0,IF(B61&gt;'Leave Calculation'!D$39,0,VLOOKUP(C61,'Leave Calculation'!A$21:E$25,5,FALSE)))</f>
        <v>8.000000000000002</v>
      </c>
      <c r="G61" s="54"/>
    </row>
    <row r="62" spans="1:7" ht="15">
      <c r="A62" s="50" t="s">
        <v>25</v>
      </c>
      <c r="B62" s="51">
        <v>45439</v>
      </c>
      <c r="C62" s="52" t="s">
        <v>4</v>
      </c>
      <c r="D62" s="37">
        <f t="shared" si="0"/>
        <v>1</v>
      </c>
      <c r="E62" s="53">
        <f>IF(B62&lt;'Leave Calculation'!C$39,0,IF(B62&gt;'Leave Calculation'!D$39,0,VLOOKUP(C62,'Leave Calculation'!A$21:E$25,5,FALSE)))</f>
        <v>8.000000000000002</v>
      </c>
      <c r="F62" s="35"/>
      <c r="G62" s="54"/>
    </row>
    <row r="63" spans="1:7" ht="15">
      <c r="A63" s="50" t="s">
        <v>25</v>
      </c>
      <c r="B63" s="51">
        <v>45530</v>
      </c>
      <c r="C63" s="52" t="s">
        <v>4</v>
      </c>
      <c r="D63" s="37">
        <f t="shared" si="0"/>
        <v>1</v>
      </c>
      <c r="E63" s="53">
        <f>IF(B63&lt;'Leave Calculation'!C$39,0,IF(B63&gt;'Leave Calculation'!D$39,0,VLOOKUP(C63,'Leave Calculation'!A$21:E$25,5,FALSE)))</f>
        <v>8.000000000000002</v>
      </c>
      <c r="F63" s="35"/>
      <c r="G63" s="54"/>
    </row>
    <row r="64" spans="1:7" ht="29.25" customHeight="1">
      <c r="A64" s="62" t="s">
        <v>32</v>
      </c>
      <c r="B64" s="63"/>
      <c r="C64" s="63"/>
      <c r="D64" s="64"/>
      <c r="E64" s="55">
        <f>SUM(E50:E63)</f>
        <v>88</v>
      </c>
      <c r="G64" s="54"/>
    </row>
    <row r="65" ht="14.25">
      <c r="G65" s="54"/>
    </row>
    <row r="66" spans="1:6" ht="14.25">
      <c r="A66" s="56" t="s">
        <v>62</v>
      </c>
      <c r="B66" s="56"/>
      <c r="C66" s="56"/>
      <c r="D66" s="56"/>
      <c r="F66" s="56"/>
    </row>
    <row r="67" spans="1:6" ht="14.25">
      <c r="A67" s="56" t="s">
        <v>60</v>
      </c>
      <c r="B67" s="56"/>
      <c r="C67" s="56"/>
      <c r="D67" s="56"/>
      <c r="F67" s="56"/>
    </row>
    <row r="68" spans="1:6" ht="14.25">
      <c r="A68" s="56" t="s">
        <v>54</v>
      </c>
      <c r="B68" s="56"/>
      <c r="C68" s="56"/>
      <c r="D68" s="56"/>
      <c r="F68" s="56"/>
    </row>
  </sheetData>
  <sheetProtection password="CC34" sheet="1" selectLockedCells="1"/>
  <mergeCells count="10">
    <mergeCell ref="A26:D26"/>
    <mergeCell ref="F21:F25"/>
    <mergeCell ref="A8:E8"/>
    <mergeCell ref="B10:E10"/>
    <mergeCell ref="G30:G32"/>
    <mergeCell ref="H30:H32"/>
    <mergeCell ref="I30:I32"/>
    <mergeCell ref="G39:I40"/>
    <mergeCell ref="A64:D64"/>
    <mergeCell ref="A30:D30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62" r:id="rId1"/>
  <headerFooter alignWithMargins="0"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Reading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vrs97eag</dc:creator>
  <cp:keywords/>
  <dc:description/>
  <cp:lastModifiedBy>vrs12h2@reading.ac.uk</cp:lastModifiedBy>
  <cp:lastPrinted>2015-10-14T16:02:22Z</cp:lastPrinted>
  <dcterms:created xsi:type="dcterms:W3CDTF">2007-04-02T10:15:31Z</dcterms:created>
  <dcterms:modified xsi:type="dcterms:W3CDTF">2023-10-13T01:05:29Z</dcterms:modified>
  <cp:category/>
  <cp:version/>
  <cp:contentType/>
  <cp:contentStatus/>
</cp:coreProperties>
</file>